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0" yWindow="465" windowWidth="20730" windowHeight="11760" tabRatio="517"/>
  </bookViews>
  <sheets>
    <sheet name="Калькулятор ROI" sheetId="7" r:id="rId1"/>
    <sheet name="Параметры экономии" sheetId="9" r:id="rId2"/>
  </sheets>
  <calcPr calcId="125725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4" i="7"/>
  <c r="C21" l="1"/>
  <c r="E5" i="9"/>
  <c r="J5" s="1"/>
  <c r="K5" s="1"/>
  <c r="C22" i="7"/>
  <c r="E6" i="9"/>
  <c r="J6" s="1"/>
  <c r="K6" s="1"/>
  <c r="E7"/>
  <c r="G7" s="1"/>
  <c r="E8"/>
  <c r="J8" s="1"/>
  <c r="K8" s="1"/>
  <c r="E9"/>
  <c r="J9" s="1"/>
  <c r="K9" s="1"/>
  <c r="E10"/>
  <c r="J10" s="1"/>
  <c r="K10" s="1"/>
  <c r="E11"/>
  <c r="J11"/>
  <c r="K11" s="1"/>
  <c r="E12"/>
  <c r="J12" s="1"/>
  <c r="K12" s="1"/>
  <c r="E14"/>
  <c r="J14" s="1"/>
  <c r="K14" s="1"/>
  <c r="G5"/>
  <c r="G9"/>
  <c r="C26" i="7"/>
  <c r="C43" s="1"/>
  <c r="E20" i="9"/>
  <c r="G20"/>
  <c r="E19"/>
  <c r="G19" s="1"/>
  <c r="G11"/>
  <c r="E23"/>
  <c r="G23" s="1"/>
  <c r="E22"/>
  <c r="G22"/>
  <c r="E21"/>
  <c r="G21" s="1"/>
  <c r="J22"/>
  <c r="K22" s="1"/>
  <c r="J19"/>
  <c r="K19" s="1"/>
  <c r="J20"/>
  <c r="K20" s="1"/>
  <c r="E29" i="7"/>
  <c r="E30"/>
  <c r="G8" i="9" l="1"/>
  <c r="J7"/>
  <c r="K7" s="1"/>
  <c r="C44" i="7"/>
  <c r="G10" i="9"/>
  <c r="J23"/>
  <c r="K23" s="1"/>
  <c r="J21"/>
  <c r="K21" s="1"/>
  <c r="C38" i="7" s="1"/>
  <c r="G12" i="9"/>
  <c r="G14"/>
  <c r="G6"/>
  <c r="E13"/>
  <c r="G13" l="1"/>
  <c r="J13"/>
  <c r="K13" s="1"/>
  <c r="C39" i="7" s="1"/>
  <c r="C40" s="1"/>
  <c r="C47" l="1"/>
  <c r="C46"/>
</calcChain>
</file>

<file path=xl/comments1.xml><?xml version="1.0" encoding="utf-8"?>
<comments xmlns="http://schemas.openxmlformats.org/spreadsheetml/2006/main">
  <authors>
    <author>administrator</author>
  </authors>
  <commentList>
    <comment ref="E26" authorId="0">
      <text>
        <r>
          <rPr>
            <b/>
            <sz val="9"/>
            <color rgb="FF000000"/>
            <rFont val="Tahoma"/>
            <family val="2"/>
            <charset val="204"/>
          </rPr>
          <t>administrator:</t>
        </r>
        <r>
          <rPr>
            <sz val="9"/>
            <color rgb="FF000000"/>
            <rFont val="Tahoma"/>
            <family val="2"/>
            <charset val="204"/>
          </rPr>
          <t xml:space="preserve">
</t>
        </r>
        <r>
          <rPr>
            <sz val="9"/>
            <color rgb="FF000000"/>
            <rFont val="Tahoma"/>
            <family val="2"/>
            <charset val="204"/>
          </rPr>
          <t>Соотношение стоимости внедрения к стоимости лицензий</t>
        </r>
      </text>
    </comment>
  </commentList>
</comments>
</file>

<file path=xl/sharedStrings.xml><?xml version="1.0" encoding="utf-8"?>
<sst xmlns="http://schemas.openxmlformats.org/spreadsheetml/2006/main" count="155" uniqueCount="96">
  <si>
    <t>Уведомления и напоминания о сроках исполнения документов и задач</t>
  </si>
  <si>
    <t>Инструкция</t>
  </si>
  <si>
    <t>В калькуляторе по умолчанию установлены усредненные цифры, полученные на основании статистических данных.</t>
  </si>
  <si>
    <t>Сотрудники на предприятии</t>
  </si>
  <si>
    <t>Количество сотрудников, которые работают с документами</t>
  </si>
  <si>
    <t>Чел.</t>
  </si>
  <si>
    <t>Среднемесячная заработная плата одного сотрудника</t>
  </si>
  <si>
    <t>Примерный срок внедрения</t>
  </si>
  <si>
    <t>Мес.</t>
  </si>
  <si>
    <t>%</t>
  </si>
  <si>
    <t>Операции выполняемые сотрудником</t>
  </si>
  <si>
    <t>Время затрачиваемое на одну операцию</t>
  </si>
  <si>
    <t>Количество операций по одному сотруднику</t>
  </si>
  <si>
    <t>Мин.</t>
  </si>
  <si>
    <t>Опер./Мес.</t>
  </si>
  <si>
    <t>Час.</t>
  </si>
  <si>
    <t>Проц./Мес.</t>
  </si>
  <si>
    <t>Прямые финансовые потери - штрафы, неустойки, пеня и пр.</t>
  </si>
  <si>
    <t>Упущенная финансовая выгода, потерянные возможности</t>
  </si>
  <si>
    <t>Стоимость годового гарантированного обновления (от стоимости лицензий)</t>
  </si>
  <si>
    <t>Среднемесячная заработная плата специалиста по поддержке системы</t>
  </si>
  <si>
    <t>Процент экономии при использовании СЭТД</t>
  </si>
  <si>
    <t>Количество сотрудников, которые управляют проектами</t>
  </si>
  <si>
    <t>Среднее количество проектов в год</t>
  </si>
  <si>
    <t>Проекты предприятия</t>
  </si>
  <si>
    <t>Среднее количество технических документов на проекте</t>
  </si>
  <si>
    <t xml:space="preserve">Поиск документа из архива </t>
  </si>
  <si>
    <t xml:space="preserve">Поиск документа в текущем проекте </t>
  </si>
  <si>
    <t>Подготовка типовых сопроводительных документов</t>
  </si>
  <si>
    <t xml:space="preserve">Заполнение данными чертежного штампа с учетом переделок  (без подшивки) </t>
  </si>
  <si>
    <t>Общая экономия раб.времени при использовании СЭТД, дней в год</t>
  </si>
  <si>
    <t>Передача документов между подразделениями</t>
  </si>
  <si>
    <t>Разовые расходы на приобретение и внедрение СЭТД</t>
  </si>
  <si>
    <t>Регулярные расходы на сопровождение СЭТД</t>
  </si>
  <si>
    <t>Экономия при работе в СЭТД</t>
  </si>
  <si>
    <t>Эффект от использования систем электронного технического документооборота (СЭТД) включает:</t>
  </si>
  <si>
    <t>лет</t>
  </si>
  <si>
    <t>Среднемесячная заработная плата руководителя проекта</t>
  </si>
  <si>
    <t>Среднее количество нетехнических документов на проекте</t>
  </si>
  <si>
    <t>Норматив эксплуатации СЭТД</t>
  </si>
  <si>
    <t>Общая экономия раб. Времени при использовании СЭТД, дней в год</t>
  </si>
  <si>
    <t>Исправление и актуализация внешних ссылок в технической документации</t>
  </si>
  <si>
    <t>Экономия времени сотрудников, которые управляют проектами</t>
  </si>
  <si>
    <t>Экономия времени сотрудников, которые работают с документами</t>
  </si>
  <si>
    <t>Дн/Год.</t>
  </si>
  <si>
    <t>Количество рабочих дней в году</t>
  </si>
  <si>
    <t>Среднее количество технических документов на человека в год</t>
  </si>
  <si>
    <t>Среднее количество нетехнических документов на человека в год</t>
  </si>
  <si>
    <t>Шт./Год</t>
  </si>
  <si>
    <t>Шт.</t>
  </si>
  <si>
    <t>Среднее количество параметрических отчетов по проекту</t>
  </si>
  <si>
    <t>Ознакомление с документом и получение обратной связи (20% документов)</t>
  </si>
  <si>
    <t>Средняя годовая стоимость владения (с учетом ежегодного обновления и сопровождения)</t>
  </si>
  <si>
    <t>Срок окупаемости приобретения и внедрения системы, месяцев</t>
  </si>
  <si>
    <t>Месяца</t>
  </si>
  <si>
    <t>Время затрачиваемое на операцию в год</t>
  </si>
  <si>
    <t>Час/Год</t>
  </si>
  <si>
    <t>Восстановление утраченных данных  (0,5 % от количества документов)</t>
  </si>
  <si>
    <t>Ежегодная экономическая эффективность использования СЭТД</t>
  </si>
  <si>
    <t>Общие затраты на покупку и поддержку первого года</t>
  </si>
  <si>
    <t>Финансовые потери из-за утери документов или их несвоевременной обработки</t>
  </si>
  <si>
    <t xml:space="preserve">Коэф-т затрат </t>
  </si>
  <si>
    <t>% Год.</t>
  </si>
  <si>
    <t>Стоимость внедрения (по умолчанию - расчет от стоимости ПО через коэф-т затрат)</t>
  </si>
  <si>
    <t>Экономия времени при использовании СЭТД по одному сотруднику, часов в год</t>
  </si>
  <si>
    <t xml:space="preserve">Наборы параметров, порождающих экономию рабочего времени после внедрения СЭТД </t>
  </si>
  <si>
    <t>Калькулятор расчета экономической эффективности использования VITRO-CAD</t>
  </si>
  <si>
    <t>Экономическая эффективность использования СЭТД Vitro-CAD</t>
  </si>
  <si>
    <t>Время затрачиваемое одним руководителем в год</t>
  </si>
  <si>
    <t>Работы, выполняемые руководителями</t>
  </si>
  <si>
    <t>Время затрачиваемое на одну работу</t>
  </si>
  <si>
    <t>Количество работ по одному руководителю</t>
  </si>
  <si>
    <t>Экономия времени при использовании СЭТД по одному руководителю, часов в год</t>
  </si>
  <si>
    <t>Типовые работы руководителей</t>
  </si>
  <si>
    <t>Типовые работы сотрудников</t>
  </si>
  <si>
    <t>Обслуживание процесса согласования документов  (40% документов)</t>
  </si>
  <si>
    <t>руб</t>
  </si>
  <si>
    <t>Стоимость оборудования</t>
  </si>
  <si>
    <t>Стоимость лицензий Vitro-CAD</t>
  </si>
  <si>
    <t>руб/мес.</t>
  </si>
  <si>
    <t>руб/Год.</t>
  </si>
  <si>
    <t>Стоимость дополнительного сопровождения (от стоимости лицензий)</t>
  </si>
  <si>
    <t>Контроль хода проектирования и сроков исполнения задач</t>
  </si>
  <si>
    <t>Сборка раздела и документов проекта</t>
  </si>
  <si>
    <t>Подготовка регламентированных отчетов и реестров</t>
  </si>
  <si>
    <t>Создание типовой структуры проектной документации</t>
  </si>
  <si>
    <t>Настройка доступа к разделам и документам проектной структуры</t>
  </si>
  <si>
    <t>1) Прямой экономический эффект (экономию трудовых и материальных затрат на работу с документами); </t>
  </si>
  <si>
    <t>3) Сокращение временных циклов работы с документами и создание единого документального пространства; </t>
  </si>
  <si>
    <t>4) Полный контроль над движением документов и исполнительской дисциплиной</t>
  </si>
  <si>
    <t>2) Эффект за счет унификации документационной деятельности организации 
    и уменьшение зависимости от индивидуального технологического опыта персонала; </t>
  </si>
  <si>
    <t>Данный инструмент охватывает только экономическую сторону вопроса внедрения СЭТД, 
не учитывая других выгод, которые получает организация при использовании электронного документооборота.</t>
  </si>
  <si>
    <t>Инструмент определения экономической целесообразности внедрения Среды Общих Данных Vitro-CAD</t>
  </si>
  <si>
    <t>Входные данные для расчета ЭЭ СОД Vitro-CAD</t>
  </si>
  <si>
    <t>Введите в зеленые поля данные, применимые для вашей организации.</t>
  </si>
  <si>
    <t>Экономия средств на оплату труда</t>
  </si>
</sst>
</file>

<file path=xl/styles.xml><?xml version="1.0" encoding="utf-8"?>
<styleSheet xmlns="http://schemas.openxmlformats.org/spreadsheetml/2006/main">
  <fonts count="40">
    <font>
      <sz val="11"/>
      <color theme="1"/>
      <name val="Calibri"/>
      <family val="2"/>
      <charset val="204"/>
      <scheme val="minor"/>
    </font>
    <font>
      <sz val="11"/>
      <color rgb="FF555555"/>
      <name val="Trebuchet MS"/>
      <family val="2"/>
      <charset val="204"/>
    </font>
    <font>
      <sz val="15"/>
      <color rgb="FF5C8723"/>
      <name val="Trebuchet MS"/>
      <family val="2"/>
      <charset val="204"/>
    </font>
    <font>
      <b/>
      <sz val="17"/>
      <color rgb="FF608C9F"/>
      <name val="Trebuchet MS"/>
      <family val="2"/>
      <charset val="204"/>
    </font>
    <font>
      <sz val="11"/>
      <color theme="1"/>
      <name val="Trebuchet MS"/>
      <family val="2"/>
      <charset val="204"/>
    </font>
    <font>
      <sz val="11"/>
      <color rgb="FF000000"/>
      <name val="Trebuchet MS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rebuchet MS"/>
      <family val="2"/>
      <charset val="204"/>
    </font>
    <font>
      <b/>
      <sz val="12"/>
      <color rgb="FF000000"/>
      <name val="Trebuchet MS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7"/>
      <color theme="7" tint="-0.499984740745262"/>
      <name val="Trebuchet MS"/>
      <family val="2"/>
      <charset val="204"/>
    </font>
    <font>
      <b/>
      <sz val="15"/>
      <color rgb="FF5C8723"/>
      <name val="Trebuchet MS"/>
      <family val="2"/>
      <charset val="204"/>
    </font>
    <font>
      <sz val="11"/>
      <color rgb="FFC00000"/>
      <name val="Trebuchet MS"/>
      <family val="2"/>
      <charset val="204"/>
    </font>
    <font>
      <sz val="11"/>
      <color theme="1" tint="0.34998626667073579"/>
      <name val="Trebuchet MS"/>
      <family val="2"/>
      <charset val="204"/>
    </font>
    <font>
      <b/>
      <sz val="11"/>
      <name val="Trebuchet MS"/>
      <family val="2"/>
      <charset val="204"/>
    </font>
    <font>
      <b/>
      <sz val="12"/>
      <color theme="0"/>
      <name val="Trebuchet MS"/>
      <family val="2"/>
      <charset val="204"/>
    </font>
    <font>
      <sz val="12"/>
      <color theme="0"/>
      <name val="Calibri"/>
      <family val="2"/>
      <charset val="204"/>
      <scheme val="minor"/>
    </font>
    <font>
      <sz val="11"/>
      <color theme="0"/>
      <name val="Trebuchet MS"/>
      <family val="2"/>
      <charset val="204"/>
    </font>
    <font>
      <b/>
      <sz val="11"/>
      <color theme="0"/>
      <name val="Trebuchet MS"/>
      <family val="2"/>
      <charset val="204"/>
    </font>
    <font>
      <b/>
      <sz val="17"/>
      <color theme="0"/>
      <name val="Trebuchet MS"/>
      <family val="2"/>
      <charset val="204"/>
    </font>
    <font>
      <b/>
      <sz val="15"/>
      <color rgb="FFCC3300"/>
      <name val="Trebuchet MS"/>
      <family val="2"/>
      <charset val="204"/>
    </font>
    <font>
      <b/>
      <sz val="14"/>
      <color rgb="FFCC3300"/>
      <name val="Trebuchet MS"/>
      <family val="2"/>
      <charset val="204"/>
    </font>
    <font>
      <sz val="10"/>
      <color theme="1" tint="0.34998626667073579"/>
      <name val="Trebuchet MS"/>
      <family val="2"/>
      <charset val="204"/>
    </font>
    <font>
      <sz val="10"/>
      <color theme="1" tint="0.34998626667073579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sz val="11"/>
      <name val="Trebuchet MS"/>
      <family val="2"/>
    </font>
    <font>
      <sz val="11"/>
      <name val="Calibri"/>
      <family val="2"/>
      <charset val="204"/>
      <scheme val="minor"/>
    </font>
    <font>
      <b/>
      <sz val="11"/>
      <color theme="1" tint="0.34998626667073579"/>
      <name val="Trebuchet MS"/>
      <family val="2"/>
      <charset val="204"/>
    </font>
    <font>
      <b/>
      <sz val="11"/>
      <color theme="1" tint="0.3499862666707357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b/>
      <sz val="17"/>
      <color rgb="FF002060"/>
      <name val="Trebuchet MS"/>
      <family val="2"/>
      <charset val="204"/>
    </font>
    <font>
      <b/>
      <sz val="11"/>
      <color rgb="FF00B0F0"/>
      <name val="Trebuchet MS"/>
      <family val="2"/>
    </font>
    <font>
      <b/>
      <sz val="14"/>
      <color rgb="FF00B0F0"/>
      <name val="Trebuchet MS"/>
      <family val="2"/>
    </font>
    <font>
      <b/>
      <sz val="14"/>
      <color rgb="FF0070C0"/>
      <name val="Trebuchet MS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rgb="FFDDEFF7"/>
      </left>
      <right style="medium">
        <color rgb="FFEEEEEE"/>
      </right>
      <top style="medium">
        <color rgb="FFDDEFF7"/>
      </top>
      <bottom style="medium">
        <color rgb="FFDDEFF7"/>
      </bottom>
      <diagonal/>
    </border>
    <border>
      <left style="double">
        <color theme="0"/>
      </left>
      <right style="double">
        <color theme="0"/>
      </right>
      <top style="double">
        <color theme="0"/>
      </top>
      <bottom style="double">
        <color theme="0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theme="7" tint="-0.499984740745262"/>
      </left>
      <right style="thin">
        <color theme="7" tint="-0.499984740745262"/>
      </right>
      <top style="double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double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double">
        <color theme="7" tint="-0.499984740745262"/>
      </right>
      <top style="double">
        <color theme="7" tint="-0.499984740745262"/>
      </top>
      <bottom style="thin">
        <color theme="7" tint="-0.499984740745262"/>
      </bottom>
      <diagonal/>
    </border>
    <border>
      <left style="double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double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double">
        <color theme="7" tint="-0.499984740745262"/>
      </left>
      <right style="thin">
        <color theme="7" tint="-0.499984740745262"/>
      </right>
      <top style="thin">
        <color theme="7" tint="-0.499984740745262"/>
      </top>
      <bottom style="double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double">
        <color theme="7" tint="-0.499984740745262"/>
      </bottom>
      <diagonal/>
    </border>
    <border>
      <left style="thin">
        <color theme="7" tint="-0.499984740745262"/>
      </left>
      <right style="double">
        <color theme="7" tint="-0.499984740745262"/>
      </right>
      <top style="thin">
        <color theme="7" tint="-0.499984740745262"/>
      </top>
      <bottom style="double">
        <color theme="7" tint="-0.499984740745262"/>
      </bottom>
      <diagonal/>
    </border>
  </borders>
  <cellStyleXfs count="35">
    <xf numFmtId="0" fontId="0" fillId="0" borderId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Fill="1"/>
    <xf numFmtId="0" fontId="4" fillId="0" borderId="0" xfId="0" applyFont="1" applyFill="1" applyBorder="1" applyAlignment="1">
      <alignment horizontal="left" vertical="center" wrapText="1" indent="1"/>
    </xf>
    <xf numFmtId="0" fontId="9" fillId="0" borderId="0" xfId="0" applyFont="1" applyBorder="1"/>
    <xf numFmtId="0" fontId="0" fillId="0" borderId="0" xfId="0" applyBorder="1"/>
    <xf numFmtId="4" fontId="0" fillId="0" borderId="0" xfId="0" applyNumberFormat="1" applyBorder="1"/>
    <xf numFmtId="0" fontId="0" fillId="0" borderId="0" xfId="0" applyBorder="1" applyAlignment="1">
      <alignment horizontal="right"/>
    </xf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4" fillId="0" borderId="0" xfId="0" applyFont="1" applyFill="1" applyBorder="1" applyAlignment="1">
      <alignment horizontal="right" vertical="center" wrapText="1" inden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" fontId="0" fillId="3" borderId="0" xfId="0" applyNumberFormat="1" applyFill="1" applyBorder="1"/>
    <xf numFmtId="0" fontId="0" fillId="3" borderId="0" xfId="0" applyFill="1" applyBorder="1"/>
    <xf numFmtId="0" fontId="9" fillId="3" borderId="0" xfId="0" applyFont="1" applyFill="1" applyBorder="1" applyAlignment="1">
      <alignment horizontal="center" vertical="top"/>
    </xf>
    <xf numFmtId="0" fontId="4" fillId="3" borderId="0" xfId="0" applyFont="1" applyFill="1" applyBorder="1" applyAlignment="1">
      <alignment horizontal="left" vertical="center" wrapText="1" indent="1"/>
    </xf>
    <xf numFmtId="4" fontId="0" fillId="3" borderId="0" xfId="0" applyNumberFormat="1" applyFill="1" applyBorder="1" applyAlignment="1">
      <alignment horizontal="right"/>
    </xf>
    <xf numFmtId="4" fontId="7" fillId="3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0" fillId="3" borderId="5" xfId="0" applyFill="1" applyBorder="1"/>
    <xf numFmtId="0" fontId="1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vertical="center" wrapText="1"/>
    </xf>
    <xf numFmtId="0" fontId="14" fillId="3" borderId="5" xfId="0" applyFont="1" applyFill="1" applyBorder="1" applyAlignment="1">
      <alignment horizontal="right" vertical="top"/>
    </xf>
    <xf numFmtId="0" fontId="1" fillId="3" borderId="5" xfId="0" applyFont="1" applyFill="1" applyBorder="1" applyAlignment="1">
      <alignment horizontal="right" vertical="top"/>
    </xf>
    <xf numFmtId="0" fontId="15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left" vertical="center" wrapText="1" indent="1"/>
    </xf>
    <xf numFmtId="4" fontId="21" fillId="3" borderId="7" xfId="0" applyNumberFormat="1" applyFont="1" applyFill="1" applyBorder="1" applyAlignment="1">
      <alignment horizontal="right" vertical="center" wrapText="1" indent="1"/>
    </xf>
    <xf numFmtId="0" fontId="20" fillId="3" borderId="7" xfId="0" applyFont="1" applyFill="1" applyBorder="1" applyAlignment="1">
      <alignment horizontal="left" vertical="center" wrapText="1" indent="1"/>
    </xf>
    <xf numFmtId="0" fontId="11" fillId="3" borderId="7" xfId="0" applyFont="1" applyFill="1" applyBorder="1"/>
    <xf numFmtId="0" fontId="11" fillId="3" borderId="8" xfId="0" applyFont="1" applyFill="1" applyBorder="1"/>
    <xf numFmtId="0" fontId="24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vertical="center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Fill="1" applyBorder="1" applyAlignment="1">
      <alignment horizontal="left" vertical="center" wrapText="1" indent="1"/>
    </xf>
    <xf numFmtId="0" fontId="4" fillId="0" borderId="21" xfId="0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" fillId="0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4" fontId="0" fillId="0" borderId="19" xfId="0" applyNumberFormat="1" applyFill="1" applyBorder="1" applyAlignment="1" applyProtection="1">
      <alignment horizontal="center" vertical="center"/>
      <protection locked="0"/>
    </xf>
    <xf numFmtId="4" fontId="0" fillId="2" borderId="19" xfId="0" applyNumberFormat="1" applyFill="1" applyBorder="1" applyAlignment="1" applyProtection="1">
      <alignment horizontal="center" vertical="center"/>
      <protection locked="0"/>
    </xf>
    <xf numFmtId="4" fontId="0" fillId="0" borderId="22" xfId="0" applyNumberFormat="1" applyFill="1" applyBorder="1" applyAlignment="1" applyProtection="1">
      <alignment horizontal="center" vertical="center"/>
      <protection locked="0"/>
    </xf>
    <xf numFmtId="4" fontId="0" fillId="0" borderId="0" xfId="0" applyNumberFormat="1" applyAlignment="1">
      <alignment horizontal="center"/>
    </xf>
    <xf numFmtId="4" fontId="0" fillId="0" borderId="0" xfId="0" applyNumberFormat="1" applyFill="1" applyAlignment="1">
      <alignment horizontal="center"/>
    </xf>
    <xf numFmtId="3" fontId="6" fillId="3" borderId="0" xfId="0" applyNumberFormat="1" applyFont="1" applyFill="1" applyBorder="1" applyAlignment="1" applyProtection="1">
      <alignment vertical="center"/>
      <protection locked="0"/>
    </xf>
    <xf numFmtId="3" fontId="6" fillId="3" borderId="0" xfId="0" applyNumberFormat="1" applyFont="1" applyFill="1" applyBorder="1" applyAlignment="1">
      <alignment vertical="center"/>
    </xf>
    <xf numFmtId="3" fontId="0" fillId="3" borderId="0" xfId="0" applyNumberFormat="1" applyFill="1" applyBorder="1" applyProtection="1">
      <protection locked="0"/>
    </xf>
    <xf numFmtId="3" fontId="0" fillId="3" borderId="0" xfId="0" applyNumberFormat="1" applyFill="1" applyBorder="1"/>
    <xf numFmtId="0" fontId="25" fillId="0" borderId="0" xfId="0" applyFont="1" applyBorder="1" applyAlignment="1">
      <alignment vertical="center"/>
    </xf>
    <xf numFmtId="4" fontId="26" fillId="0" borderId="0" xfId="0" applyNumberFormat="1" applyFont="1" applyBorder="1" applyAlignment="1"/>
    <xf numFmtId="0" fontId="26" fillId="0" borderId="0" xfId="0" applyFont="1" applyBorder="1" applyAlignment="1"/>
    <xf numFmtId="0" fontId="31" fillId="0" borderId="0" xfId="0" applyFont="1" applyBorder="1" applyAlignment="1">
      <alignment vertical="center"/>
    </xf>
    <xf numFmtId="4" fontId="32" fillId="0" borderId="0" xfId="0" applyNumberFormat="1" applyFont="1" applyBorder="1"/>
    <xf numFmtId="0" fontId="32" fillId="0" borderId="0" xfId="0" applyFont="1" applyBorder="1"/>
    <xf numFmtId="0" fontId="33" fillId="0" borderId="0" xfId="0" applyFont="1" applyBorder="1"/>
    <xf numFmtId="0" fontId="33" fillId="0" borderId="0" xfId="0" applyFont="1" applyBorder="1" applyAlignment="1">
      <alignment horizontal="right"/>
    </xf>
    <xf numFmtId="2" fontId="0" fillId="0" borderId="19" xfId="0" applyNumberFormat="1" applyFill="1" applyBorder="1" applyAlignment="1" applyProtection="1">
      <alignment horizontal="center" vertical="center"/>
      <protection hidden="1"/>
    </xf>
    <xf numFmtId="4" fontId="0" fillId="0" borderId="19" xfId="0" applyNumberFormat="1" applyFill="1" applyBorder="1" applyAlignment="1" applyProtection="1">
      <alignment horizontal="center" vertical="center"/>
      <protection hidden="1"/>
    </xf>
    <xf numFmtId="4" fontId="0" fillId="0" borderId="22" xfId="0" applyNumberFormat="1" applyFill="1" applyBorder="1" applyAlignment="1" applyProtection="1">
      <alignment horizontal="center" vertical="center"/>
      <protection hidden="1"/>
    </xf>
    <xf numFmtId="2" fontId="4" fillId="0" borderId="19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0" applyFont="1" applyFill="1" applyBorder="1" applyAlignment="1" applyProtection="1">
      <alignment horizontal="center" vertical="center" wrapText="1"/>
      <protection hidden="1"/>
    </xf>
    <xf numFmtId="2" fontId="4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 wrapText="1"/>
      <protection hidden="1"/>
    </xf>
    <xf numFmtId="2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9" xfId="0" applyFont="1" applyFill="1" applyBorder="1" applyAlignment="1" applyProtection="1">
      <alignment horizontal="center" vertical="center" wrapText="1"/>
      <protection hidden="1"/>
    </xf>
    <xf numFmtId="2" fontId="4" fillId="2" borderId="19" xfId="0" applyNumberFormat="1" applyFont="1" applyFill="1" applyBorder="1" applyAlignment="1" applyProtection="1">
      <alignment horizontal="center" vertical="center" wrapText="1"/>
      <protection hidden="1"/>
    </xf>
    <xf numFmtId="2" fontId="4" fillId="2" borderId="20" xfId="0" applyNumberFormat="1" applyFont="1" applyFill="1" applyBorder="1" applyAlignment="1" applyProtection="1">
      <alignment horizontal="center" vertical="center" wrapText="1"/>
      <protection hidden="1"/>
    </xf>
    <xf numFmtId="2" fontId="0" fillId="2" borderId="19" xfId="0" applyNumberFormat="1" applyFill="1" applyBorder="1" applyAlignment="1" applyProtection="1">
      <alignment horizontal="center" vertical="center"/>
      <protection hidden="1"/>
    </xf>
    <xf numFmtId="4" fontId="5" fillId="3" borderId="0" xfId="0" applyNumberFormat="1" applyFont="1" applyFill="1" applyBorder="1" applyAlignment="1" applyProtection="1">
      <alignment horizontal="right" vertical="center" wrapText="1" indent="1"/>
      <protection hidden="1"/>
    </xf>
    <xf numFmtId="4" fontId="8" fillId="3" borderId="0" xfId="0" applyNumberFormat="1" applyFont="1" applyFill="1" applyBorder="1" applyAlignment="1" applyProtection="1">
      <alignment horizontal="right" vertical="center" wrapText="1" indent="1"/>
      <protection hidden="1"/>
    </xf>
    <xf numFmtId="4" fontId="0" fillId="3" borderId="0" xfId="0" applyNumberFormat="1" applyFill="1" applyBorder="1" applyProtection="1">
      <protection hidden="1"/>
    </xf>
    <xf numFmtId="3" fontId="6" fillId="3" borderId="0" xfId="0" applyNumberFormat="1" applyFont="1" applyFill="1" applyBorder="1" applyAlignment="1" applyProtection="1">
      <alignment vertical="center"/>
      <protection hidden="1"/>
    </xf>
    <xf numFmtId="3" fontId="10" fillId="7" borderId="2" xfId="0" applyNumberFormat="1" applyFont="1" applyFill="1" applyBorder="1" applyAlignment="1" applyProtection="1">
      <alignment vertical="center"/>
      <protection locked="0"/>
    </xf>
    <xf numFmtId="4" fontId="10" fillId="7" borderId="2" xfId="0" applyNumberFormat="1" applyFont="1" applyFill="1" applyBorder="1" applyAlignment="1" applyProtection="1">
      <alignment vertical="center"/>
      <protection locked="0"/>
    </xf>
    <xf numFmtId="0" fontId="18" fillId="5" borderId="4" xfId="0" applyFont="1" applyFill="1" applyBorder="1" applyAlignment="1">
      <alignment horizontal="left" vertical="center" wrapText="1" indent="1"/>
    </xf>
    <xf numFmtId="0" fontId="19" fillId="5" borderId="0" xfId="0" applyFont="1" applyFill="1" applyBorder="1"/>
    <xf numFmtId="0" fontId="19" fillId="5" borderId="5" xfId="0" applyFont="1" applyFill="1" applyBorder="1"/>
    <xf numFmtId="4" fontId="18" fillId="6" borderId="0" xfId="0" applyNumberFormat="1" applyFont="1" applyFill="1" applyBorder="1" applyAlignment="1" applyProtection="1">
      <alignment horizontal="right" vertical="center" wrapText="1" indent="1"/>
      <protection hidden="1"/>
    </xf>
    <xf numFmtId="0" fontId="18" fillId="6" borderId="0" xfId="0" applyFont="1" applyFill="1" applyBorder="1" applyAlignment="1">
      <alignment horizontal="left" vertical="center" wrapText="1" indent="1"/>
    </xf>
    <xf numFmtId="0" fontId="36" fillId="3" borderId="4" xfId="0" applyFont="1" applyFill="1" applyBorder="1" applyAlignment="1">
      <alignment horizontal="left" vertical="center"/>
    </xf>
    <xf numFmtId="0" fontId="39" fillId="3" borderId="4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5" xfId="0" applyFont="1" applyBorder="1" applyAlignment="1">
      <alignment horizontal="center"/>
    </xf>
    <xf numFmtId="0" fontId="1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5" fillId="0" borderId="0" xfId="0" applyFont="1" applyBorder="1" applyAlignment="1">
      <alignment vertical="top" wrapText="1"/>
    </xf>
    <xf numFmtId="0" fontId="38" fillId="3" borderId="4" xfId="0" applyFont="1" applyFill="1" applyBorder="1" applyAlignment="1">
      <alignment horizontal="right" vertical="top"/>
    </xf>
    <xf numFmtId="0" fontId="38" fillId="3" borderId="0" xfId="0" applyFont="1" applyFill="1" applyBorder="1" applyAlignment="1">
      <alignment horizontal="right" vertical="top"/>
    </xf>
    <xf numFmtId="0" fontId="29" fillId="3" borderId="4" xfId="0" applyFont="1" applyFill="1" applyBorder="1" applyAlignment="1">
      <alignment horizontal="right" vertical="top"/>
    </xf>
    <xf numFmtId="0" fontId="29" fillId="3" borderId="0" xfId="0" applyFont="1" applyFill="1" applyBorder="1" applyAlignment="1">
      <alignment horizontal="right" vertical="top"/>
    </xf>
    <xf numFmtId="0" fontId="37" fillId="3" borderId="4" xfId="0" applyFont="1" applyFill="1" applyBorder="1" applyAlignment="1">
      <alignment horizontal="right" vertical="center"/>
    </xf>
    <xf numFmtId="0" fontId="37" fillId="3" borderId="0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left" vertical="top" wrapText="1"/>
    </xf>
    <xf numFmtId="0" fontId="16" fillId="0" borderId="0" xfId="0" applyFont="1" applyBorder="1" applyAlignment="1">
      <alignment horizontal="left" vertical="top" wrapText="1"/>
    </xf>
    <xf numFmtId="4" fontId="17" fillId="4" borderId="16" xfId="0" applyNumberFormat="1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</cellXfs>
  <cellStyles count="35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</cellStyles>
  <dxfs count="0"/>
  <tableStyles count="0" defaultTableStyle="TableStyleMedium9" defaultPivotStyle="PivotStyleLight16"/>
  <colors>
    <mruColors>
      <color rgb="FFCC3300"/>
      <color rgb="FFFF6600"/>
      <color rgb="FFFFFFCC"/>
      <color rgb="FFFF9933"/>
      <color rgb="FFFFCC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5"/>
  <sheetViews>
    <sheetView tabSelected="1" zoomScaleNormal="100" workbookViewId="0">
      <selection activeCell="G40" sqref="G40"/>
    </sheetView>
  </sheetViews>
  <sheetFormatPr defaultColWidth="84.42578125" defaultRowHeight="15"/>
  <cols>
    <col min="1" max="1" width="1.42578125" style="5" customWidth="1"/>
    <col min="2" max="2" width="88" style="5" customWidth="1"/>
    <col min="3" max="3" width="23.5703125" style="6" customWidth="1"/>
    <col min="4" max="4" width="11" style="5" customWidth="1"/>
    <col min="5" max="5" width="8" style="5" customWidth="1"/>
    <col min="6" max="6" width="15.140625" style="5" customWidth="1"/>
    <col min="7" max="7" width="15.85546875" style="5" customWidth="1"/>
    <col min="8" max="8" width="11.28515625" style="5" customWidth="1"/>
    <col min="9" max="9" width="17.85546875" style="7" customWidth="1"/>
    <col min="10" max="10" width="26.42578125" style="5" customWidth="1"/>
    <col min="11" max="11" width="25.7109375" style="5" customWidth="1"/>
    <col min="12" max="12" width="23.85546875" style="5" customWidth="1"/>
    <col min="13" max="16384" width="84.42578125" style="5"/>
  </cols>
  <sheetData>
    <row r="1" spans="2:9" ht="4.5" customHeight="1" thickBot="1"/>
    <row r="2" spans="2:9" ht="4.5" customHeight="1" thickTop="1">
      <c r="B2" s="103"/>
      <c r="C2" s="104"/>
      <c r="D2" s="104"/>
      <c r="E2" s="104"/>
      <c r="F2" s="105"/>
    </row>
    <row r="3" spans="2:9" ht="36.75" customHeight="1">
      <c r="B3" s="97" t="s">
        <v>66</v>
      </c>
      <c r="C3" s="98"/>
      <c r="D3" s="98"/>
      <c r="E3" s="98"/>
      <c r="F3" s="99"/>
    </row>
    <row r="4" spans="2:9" ht="16.5">
      <c r="B4" s="100" t="s">
        <v>92</v>
      </c>
      <c r="C4" s="101"/>
      <c r="D4" s="101"/>
      <c r="E4" s="101"/>
      <c r="F4" s="102"/>
    </row>
    <row r="5" spans="2:9" ht="17.25" customHeight="1">
      <c r="B5" s="107" t="s">
        <v>1</v>
      </c>
      <c r="C5" s="108"/>
      <c r="D5" s="108"/>
      <c r="E5" s="108"/>
      <c r="F5" s="27"/>
    </row>
    <row r="6" spans="2:9" ht="14.25" customHeight="1">
      <c r="B6" s="109" t="s">
        <v>2</v>
      </c>
      <c r="C6" s="110"/>
      <c r="D6" s="110"/>
      <c r="E6" s="110"/>
      <c r="F6" s="28"/>
    </row>
    <row r="7" spans="2:9" ht="14.25" customHeight="1">
      <c r="B7" s="111" t="s">
        <v>94</v>
      </c>
      <c r="C7" s="112"/>
      <c r="D7" s="112"/>
      <c r="E7" s="112"/>
      <c r="F7" s="29"/>
    </row>
    <row r="8" spans="2:9" ht="9" customHeight="1">
      <c r="B8" s="23"/>
      <c r="C8" s="18"/>
      <c r="D8" s="113"/>
      <c r="E8" s="113"/>
      <c r="F8" s="22"/>
    </row>
    <row r="9" spans="2:9" ht="23.25" thickBot="1">
      <c r="B9" s="95" t="s">
        <v>93</v>
      </c>
      <c r="C9" s="16"/>
      <c r="D9" s="17"/>
      <c r="E9" s="17"/>
      <c r="F9" s="22"/>
    </row>
    <row r="10" spans="2:9" ht="18" thickTop="1" thickBot="1">
      <c r="B10" s="24" t="s">
        <v>45</v>
      </c>
      <c r="C10" s="88">
        <v>247</v>
      </c>
      <c r="D10" s="19" t="s">
        <v>44</v>
      </c>
      <c r="E10" s="17"/>
      <c r="F10" s="22"/>
      <c r="H10" s="4"/>
      <c r="I10" s="10"/>
    </row>
    <row r="11" spans="2:9" ht="20.25" thickTop="1" thickBot="1">
      <c r="B11" s="96" t="s">
        <v>3</v>
      </c>
      <c r="C11" s="59"/>
      <c r="D11" s="17"/>
      <c r="E11" s="17"/>
      <c r="F11" s="22"/>
    </row>
    <row r="12" spans="2:9" s="8" customFormat="1" ht="18" thickTop="1" thickBot="1">
      <c r="B12" s="24" t="s">
        <v>22</v>
      </c>
      <c r="C12" s="88">
        <v>6</v>
      </c>
      <c r="D12" s="19" t="s">
        <v>5</v>
      </c>
      <c r="E12" s="17"/>
      <c r="F12" s="22"/>
      <c r="I12" s="10"/>
    </row>
    <row r="13" spans="2:9" s="8" customFormat="1" ht="34.5" thickTop="1" thickBot="1">
      <c r="B13" s="24" t="s">
        <v>37</v>
      </c>
      <c r="C13" s="88">
        <v>100000</v>
      </c>
      <c r="D13" s="19" t="s">
        <v>79</v>
      </c>
      <c r="E13" s="17"/>
      <c r="F13" s="22"/>
      <c r="I13" s="10"/>
    </row>
    <row r="14" spans="2:9" ht="18" thickTop="1" thickBot="1">
      <c r="B14" s="24" t="s">
        <v>4</v>
      </c>
      <c r="C14" s="88">
        <v>50</v>
      </c>
      <c r="D14" s="19" t="s">
        <v>5</v>
      </c>
      <c r="E14" s="17"/>
      <c r="F14" s="22"/>
    </row>
    <row r="15" spans="2:9" ht="34.5" thickTop="1" thickBot="1">
      <c r="B15" s="24" t="s">
        <v>6</v>
      </c>
      <c r="C15" s="88">
        <v>80000</v>
      </c>
      <c r="D15" s="19" t="s">
        <v>79</v>
      </c>
      <c r="E15" s="17"/>
      <c r="F15" s="22"/>
    </row>
    <row r="16" spans="2:9" ht="20.25" thickTop="1" thickBot="1">
      <c r="B16" s="96" t="s">
        <v>24</v>
      </c>
      <c r="C16" s="59"/>
      <c r="D16" s="19"/>
      <c r="E16" s="17"/>
      <c r="F16" s="22"/>
    </row>
    <row r="17" spans="2:9" s="8" customFormat="1" ht="18" thickTop="1" thickBot="1">
      <c r="B17" s="24" t="s">
        <v>23</v>
      </c>
      <c r="C17" s="88">
        <v>40</v>
      </c>
      <c r="D17" s="19" t="s">
        <v>49</v>
      </c>
      <c r="E17" s="17"/>
      <c r="F17" s="22"/>
      <c r="I17" s="10"/>
    </row>
    <row r="18" spans="2:9" s="8" customFormat="1" ht="18" thickTop="1" thickBot="1">
      <c r="B18" s="24" t="s">
        <v>50</v>
      </c>
      <c r="C18" s="88">
        <v>8</v>
      </c>
      <c r="D18" s="19" t="s">
        <v>49</v>
      </c>
      <c r="E18" s="17"/>
      <c r="F18" s="22"/>
      <c r="I18" s="10"/>
    </row>
    <row r="19" spans="2:9" s="8" customFormat="1" ht="18" thickTop="1" thickBot="1">
      <c r="B19" s="24" t="s">
        <v>25</v>
      </c>
      <c r="C19" s="88">
        <v>500</v>
      </c>
      <c r="D19" s="19" t="s">
        <v>49</v>
      </c>
      <c r="E19" s="17"/>
      <c r="F19" s="22"/>
      <c r="I19" s="10"/>
    </row>
    <row r="20" spans="2:9" s="8" customFormat="1" ht="18" thickTop="1" thickBot="1">
      <c r="B20" s="24" t="s">
        <v>38</v>
      </c>
      <c r="C20" s="88">
        <v>200</v>
      </c>
      <c r="D20" s="19" t="s">
        <v>49</v>
      </c>
      <c r="E20" s="17"/>
      <c r="F20" s="22"/>
      <c r="I20" s="10"/>
    </row>
    <row r="21" spans="2:9" s="8" customFormat="1" ht="17.25" thickTop="1">
      <c r="B21" s="24" t="s">
        <v>46</v>
      </c>
      <c r="C21" s="87">
        <f>C17/C12*C19/(C14/(C17/C12))</f>
        <v>444.44444444444446</v>
      </c>
      <c r="D21" s="19" t="s">
        <v>48</v>
      </c>
      <c r="E21" s="17"/>
      <c r="F21" s="22"/>
      <c r="I21" s="10"/>
    </row>
    <row r="22" spans="2:9" s="8" customFormat="1" ht="16.5">
      <c r="B22" s="24" t="s">
        <v>47</v>
      </c>
      <c r="C22" s="87">
        <f>C17/C12*C20/(C14/(C17/C12))</f>
        <v>177.7777777777778</v>
      </c>
      <c r="D22" s="19" t="s">
        <v>48</v>
      </c>
      <c r="E22" s="17"/>
      <c r="F22" s="22"/>
      <c r="I22" s="10"/>
    </row>
    <row r="23" spans="2:9" s="8" customFormat="1" ht="18.75">
      <c r="B23" s="96" t="s">
        <v>32</v>
      </c>
      <c r="C23" s="60"/>
      <c r="D23" s="17"/>
      <c r="E23" s="17"/>
      <c r="F23" s="22"/>
      <c r="I23" s="10"/>
    </row>
    <row r="24" spans="2:9" s="8" customFormat="1" ht="17.25" thickBot="1">
      <c r="B24" s="24" t="s">
        <v>78</v>
      </c>
      <c r="C24" s="62">
        <f>46200*(C14+C12)*0.9</f>
        <v>2328480</v>
      </c>
      <c r="D24" s="19" t="s">
        <v>76</v>
      </c>
      <c r="E24" s="17"/>
      <c r="F24" s="22"/>
      <c r="I24" s="10"/>
    </row>
    <row r="25" spans="2:9" s="8" customFormat="1" ht="18" thickTop="1" thickBot="1">
      <c r="B25" s="24" t="s">
        <v>77</v>
      </c>
      <c r="C25" s="88">
        <v>0</v>
      </c>
      <c r="D25" s="19" t="s">
        <v>76</v>
      </c>
      <c r="E25" s="17"/>
      <c r="F25" s="22"/>
      <c r="I25" s="10"/>
    </row>
    <row r="26" spans="2:9" s="8" customFormat="1" ht="21" customHeight="1" thickTop="1" thickBot="1">
      <c r="B26" s="24" t="s">
        <v>63</v>
      </c>
      <c r="C26" s="62">
        <f>C24*E26</f>
        <v>1164240</v>
      </c>
      <c r="D26" s="19" t="s">
        <v>76</v>
      </c>
      <c r="E26" s="89">
        <v>0.5</v>
      </c>
      <c r="F26" s="22" t="s">
        <v>61</v>
      </c>
      <c r="I26" s="10"/>
    </row>
    <row r="27" spans="2:9" s="8" customFormat="1" ht="18" thickTop="1" thickBot="1">
      <c r="B27" s="24" t="s">
        <v>7</v>
      </c>
      <c r="C27" s="88">
        <v>5</v>
      </c>
      <c r="D27" s="19" t="s">
        <v>8</v>
      </c>
      <c r="E27" s="17"/>
      <c r="F27" s="22"/>
      <c r="I27" s="10"/>
    </row>
    <row r="28" spans="2:9" s="8" customFormat="1" ht="19.5" thickTop="1">
      <c r="B28" s="96" t="s">
        <v>33</v>
      </c>
      <c r="C28" s="60"/>
      <c r="D28" s="17"/>
      <c r="E28" s="17"/>
      <c r="F28" s="22"/>
      <c r="I28" s="10"/>
    </row>
    <row r="29" spans="2:9" s="8" customFormat="1" ht="17.25" thickBot="1">
      <c r="B29" s="24" t="s">
        <v>19</v>
      </c>
      <c r="C29" s="60">
        <v>18</v>
      </c>
      <c r="D29" s="19" t="s">
        <v>9</v>
      </c>
      <c r="E29" s="62">
        <f>C24*C29%</f>
        <v>419126.39999999997</v>
      </c>
      <c r="F29" s="25" t="s">
        <v>76</v>
      </c>
      <c r="G29" s="3"/>
      <c r="H29" s="3"/>
      <c r="I29" s="10"/>
    </row>
    <row r="30" spans="2:9" s="8" customFormat="1" ht="21" customHeight="1" thickTop="1" thickBot="1">
      <c r="B30" s="24" t="s">
        <v>81</v>
      </c>
      <c r="C30" s="88">
        <v>0</v>
      </c>
      <c r="D30" s="19" t="s">
        <v>9</v>
      </c>
      <c r="E30" s="62">
        <f>C24*C30%</f>
        <v>0</v>
      </c>
      <c r="F30" s="25" t="s">
        <v>76</v>
      </c>
      <c r="G30" s="3"/>
      <c r="H30" s="3"/>
      <c r="I30" s="10"/>
    </row>
    <row r="31" spans="2:9" s="8" customFormat="1" ht="20.25" customHeight="1" thickTop="1" thickBot="1">
      <c r="B31" s="24" t="s">
        <v>20</v>
      </c>
      <c r="C31" s="88">
        <v>0</v>
      </c>
      <c r="D31" s="19" t="s">
        <v>79</v>
      </c>
      <c r="E31" s="17"/>
      <c r="F31" s="22"/>
      <c r="I31" s="10"/>
    </row>
    <row r="32" spans="2:9" s="8" customFormat="1" ht="20.25" customHeight="1" thickTop="1" thickBot="1">
      <c r="B32" s="96" t="s">
        <v>39</v>
      </c>
      <c r="C32" s="88">
        <v>10</v>
      </c>
      <c r="D32" s="19" t="s">
        <v>36</v>
      </c>
      <c r="E32" s="17"/>
      <c r="F32" s="22"/>
      <c r="I32" s="10"/>
    </row>
    <row r="33" spans="2:11" s="8" customFormat="1" ht="12" customHeight="1" thickTop="1">
      <c r="B33" s="26"/>
      <c r="C33" s="59"/>
      <c r="D33" s="17"/>
      <c r="E33" s="17"/>
      <c r="F33" s="22"/>
      <c r="I33" s="10"/>
    </row>
    <row r="34" spans="2:11" s="8" customFormat="1" ht="19.5" thickBot="1">
      <c r="B34" s="96" t="s">
        <v>60</v>
      </c>
      <c r="C34" s="61"/>
      <c r="D34" s="17"/>
      <c r="E34" s="17"/>
      <c r="F34" s="22"/>
      <c r="I34" s="11"/>
      <c r="J34" s="3"/>
      <c r="K34" s="3"/>
    </row>
    <row r="35" spans="2:11" s="8" customFormat="1" ht="34.5" thickTop="1" thickBot="1">
      <c r="B35" s="24" t="s">
        <v>17</v>
      </c>
      <c r="C35" s="88">
        <v>1</v>
      </c>
      <c r="D35" s="19" t="s">
        <v>80</v>
      </c>
      <c r="E35" s="17"/>
      <c r="F35" s="22"/>
      <c r="I35" s="11"/>
      <c r="J35" s="3"/>
      <c r="K35" s="3"/>
    </row>
    <row r="36" spans="2:11" s="8" customFormat="1" ht="34.5" thickTop="1" thickBot="1">
      <c r="B36" s="24" t="s">
        <v>18</v>
      </c>
      <c r="C36" s="88">
        <v>1</v>
      </c>
      <c r="D36" s="19" t="s">
        <v>80</v>
      </c>
      <c r="E36" s="17"/>
      <c r="F36" s="22"/>
      <c r="I36" s="10"/>
    </row>
    <row r="37" spans="2:11" s="8" customFormat="1" ht="25.5" customHeight="1" thickTop="1">
      <c r="B37" s="96" t="s">
        <v>34</v>
      </c>
      <c r="C37" s="20"/>
      <c r="D37" s="17"/>
      <c r="E37" s="17"/>
      <c r="F37" s="22"/>
      <c r="I37" s="10"/>
    </row>
    <row r="38" spans="2:11" s="8" customFormat="1" ht="16.5">
      <c r="B38" s="24" t="s">
        <v>42</v>
      </c>
      <c r="C38" s="84">
        <f>SUM('Параметры экономии'!K21:K23)+'Параметры экономии'!K19+'Параметры экономии'!K20</f>
        <v>118.20699999999999</v>
      </c>
      <c r="D38" s="19" t="s">
        <v>44</v>
      </c>
      <c r="E38" s="17"/>
      <c r="F38" s="22"/>
      <c r="I38" s="10"/>
    </row>
    <row r="39" spans="2:11" s="8" customFormat="1" ht="16.5">
      <c r="B39" s="24" t="s">
        <v>43</v>
      </c>
      <c r="C39" s="84">
        <f>SUM('Параметры экономии'!K5:K6)+SUM('Параметры экономии'!K7:K10)+SUM('Параметры экономии'!K11:K13)+'Параметры экономии'!K14</f>
        <v>5342.4570370370375</v>
      </c>
      <c r="D39" s="19" t="s">
        <v>44</v>
      </c>
      <c r="E39" s="17"/>
      <c r="F39" s="22"/>
      <c r="I39" s="10"/>
    </row>
    <row r="40" spans="2:11" s="8" customFormat="1" ht="33">
      <c r="B40" s="24" t="s">
        <v>95</v>
      </c>
      <c r="C40" s="85">
        <f>C13*12/C10*C38+C15*12/C10*C39</f>
        <v>21338490.508322086</v>
      </c>
      <c r="D40" s="19" t="s">
        <v>80</v>
      </c>
      <c r="E40" s="17"/>
      <c r="F40" s="22"/>
      <c r="I40" s="10"/>
    </row>
    <row r="41" spans="2:11" s="8" customFormat="1" ht="10.5" customHeight="1">
      <c r="B41" s="24"/>
      <c r="C41" s="85"/>
      <c r="D41" s="19"/>
      <c r="E41" s="17"/>
      <c r="F41" s="22"/>
      <c r="I41" s="10"/>
    </row>
    <row r="42" spans="2:11" s="8" customFormat="1" ht="17.25" customHeight="1">
      <c r="B42" s="96" t="s">
        <v>67</v>
      </c>
      <c r="C42" s="86"/>
      <c r="D42" s="17"/>
      <c r="E42" s="17"/>
      <c r="F42" s="22"/>
      <c r="I42" s="10"/>
    </row>
    <row r="43" spans="2:11" s="8" customFormat="1" ht="16.5">
      <c r="B43" s="24" t="s">
        <v>59</v>
      </c>
      <c r="C43" s="21">
        <f>C24*(SUM(C29:C30))%+SUM(C24:C26)</f>
        <v>3911846.4</v>
      </c>
      <c r="D43" s="19" t="s">
        <v>76</v>
      </c>
      <c r="E43" s="17"/>
      <c r="F43" s="22"/>
      <c r="I43" s="10"/>
    </row>
    <row r="44" spans="2:11" s="8" customFormat="1" ht="33">
      <c r="B44" s="24" t="s">
        <v>52</v>
      </c>
      <c r="C44" s="21">
        <f>C43/C32+C31*12+C24*(SUM(C29:C30))%</f>
        <v>810311.04</v>
      </c>
      <c r="D44" s="19" t="s">
        <v>76</v>
      </c>
      <c r="E44" s="17"/>
      <c r="F44" s="22"/>
      <c r="I44" s="10"/>
    </row>
    <row r="45" spans="2:11" s="8" customFormat="1" ht="15" customHeight="1">
      <c r="B45" s="24"/>
      <c r="C45" s="21"/>
      <c r="D45" s="19"/>
      <c r="E45" s="17"/>
      <c r="F45" s="22"/>
      <c r="I45" s="10"/>
    </row>
    <row r="46" spans="2:11" s="12" customFormat="1" ht="21" customHeight="1">
      <c r="B46" s="90" t="s">
        <v>53</v>
      </c>
      <c r="C46" s="93">
        <f>C43/((C40+C35+C36)/12)+C27</f>
        <v>7.199881588715435</v>
      </c>
      <c r="D46" s="94" t="s">
        <v>54</v>
      </c>
      <c r="E46" s="91"/>
      <c r="F46" s="92"/>
      <c r="I46" s="13"/>
    </row>
    <row r="47" spans="2:11" s="12" customFormat="1" ht="27.95" customHeight="1">
      <c r="B47" s="90" t="s">
        <v>58</v>
      </c>
      <c r="C47" s="93">
        <f>((C40+C35+C36-C44)/C44)*100</f>
        <v>2533.3705768493646</v>
      </c>
      <c r="D47" s="94" t="s">
        <v>62</v>
      </c>
      <c r="E47" s="91"/>
      <c r="F47" s="92"/>
      <c r="I47" s="13"/>
    </row>
    <row r="48" spans="2:11" s="8" customFormat="1" ht="12.95" customHeight="1" thickBot="1">
      <c r="B48" s="30"/>
      <c r="C48" s="31"/>
      <c r="D48" s="32"/>
      <c r="E48" s="33"/>
      <c r="F48" s="34"/>
      <c r="I48" s="10"/>
    </row>
    <row r="49" spans="2:10" s="8" customFormat="1" ht="19.5" thickTop="1">
      <c r="B49" s="35"/>
      <c r="C49" s="9"/>
      <c r="I49" s="10"/>
    </row>
    <row r="50" spans="2:10" ht="33" customHeight="1">
      <c r="B50" s="114" t="s">
        <v>91</v>
      </c>
      <c r="C50" s="114"/>
      <c r="D50" s="114"/>
      <c r="E50" s="114"/>
      <c r="F50" s="114"/>
      <c r="G50" s="15"/>
      <c r="H50" s="15"/>
      <c r="I50" s="15"/>
      <c r="J50" s="15"/>
    </row>
    <row r="51" spans="2:10" s="69" customFormat="1" ht="16.5">
      <c r="B51" s="66" t="s">
        <v>35</v>
      </c>
      <c r="C51" s="67"/>
      <c r="D51" s="68"/>
      <c r="E51" s="68"/>
      <c r="F51" s="68"/>
      <c r="I51" s="70"/>
    </row>
    <row r="52" spans="2:10">
      <c r="B52" s="63" t="s">
        <v>87</v>
      </c>
      <c r="C52" s="64"/>
      <c r="D52" s="65"/>
      <c r="E52" s="65"/>
      <c r="F52" s="65"/>
      <c r="I52" s="14"/>
    </row>
    <row r="53" spans="2:10" ht="27" customHeight="1">
      <c r="B53" s="106" t="s">
        <v>90</v>
      </c>
      <c r="C53" s="106"/>
      <c r="D53" s="106"/>
      <c r="E53" s="106"/>
      <c r="F53" s="106"/>
    </row>
    <row r="54" spans="2:10" ht="18" customHeight="1">
      <c r="B54" s="63" t="s">
        <v>88</v>
      </c>
      <c r="C54" s="64"/>
      <c r="D54" s="65"/>
      <c r="E54" s="65"/>
      <c r="F54" s="65"/>
    </row>
    <row r="55" spans="2:10">
      <c r="B55" s="63" t="s">
        <v>89</v>
      </c>
      <c r="C55" s="64"/>
      <c r="D55" s="65"/>
      <c r="E55" s="65"/>
      <c r="F55" s="65"/>
    </row>
  </sheetData>
  <mergeCells count="9">
    <mergeCell ref="B3:F3"/>
    <mergeCell ref="B4:F4"/>
    <mergeCell ref="B2:F2"/>
    <mergeCell ref="B53:F53"/>
    <mergeCell ref="B5:E5"/>
    <mergeCell ref="B6:E6"/>
    <mergeCell ref="B7:E7"/>
    <mergeCell ref="D8:E8"/>
    <mergeCell ref="B50:F50"/>
  </mergeCells>
  <pageMargins left="0.25" right="0.25" top="0.75" bottom="0.75" header="0.3" footer="0.3"/>
  <pageSetup paperSize="9" orientation="landscape" r:id="rId1"/>
  <ignoredErrors>
    <ignoredError sqref="C26" unlockedFormula="1"/>
    <ignoredError sqref="C43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6"/>
  <sheetViews>
    <sheetView workbookViewId="0">
      <selection activeCell="B1" sqref="B1"/>
    </sheetView>
  </sheetViews>
  <sheetFormatPr defaultColWidth="8.85546875" defaultRowHeight="15"/>
  <cols>
    <col min="1" max="1" width="2.28515625" customWidth="1"/>
    <col min="2" max="2" width="44" customWidth="1"/>
    <col min="3" max="3" width="12.42578125" style="46" customWidth="1"/>
    <col min="4" max="4" width="8.85546875" style="46"/>
    <col min="5" max="5" width="12.42578125" style="46" customWidth="1"/>
    <col min="6" max="6" width="15" style="46" customWidth="1"/>
    <col min="7" max="7" width="11.42578125" style="46" customWidth="1"/>
    <col min="8" max="8" width="12" style="46" customWidth="1"/>
    <col min="9" max="9" width="17.28515625" style="46" customWidth="1"/>
    <col min="10" max="10" width="24.85546875" style="46" customWidth="1"/>
    <col min="11" max="11" width="21.85546875" style="46" customWidth="1"/>
  </cols>
  <sheetData>
    <row r="1" spans="2:11" ht="22.5">
      <c r="B1" s="37" t="s">
        <v>65</v>
      </c>
      <c r="C1" s="45"/>
      <c r="D1" s="45"/>
      <c r="E1" s="45"/>
      <c r="F1" s="45"/>
      <c r="G1" s="45"/>
      <c r="H1" s="45"/>
      <c r="I1" s="45"/>
      <c r="J1" s="45"/>
      <c r="K1" s="45"/>
    </row>
    <row r="2" spans="2:11" ht="10.5" customHeight="1">
      <c r="B2" s="36"/>
      <c r="C2" s="45"/>
      <c r="D2" s="45"/>
      <c r="E2" s="45"/>
      <c r="F2" s="45"/>
      <c r="G2" s="45"/>
      <c r="H2" s="45"/>
      <c r="I2" s="45"/>
      <c r="J2" s="45"/>
      <c r="K2" s="45"/>
    </row>
    <row r="3" spans="2:11" ht="21" thickBot="1">
      <c r="B3" s="38" t="s">
        <v>74</v>
      </c>
      <c r="C3" s="53"/>
      <c r="D3" s="45"/>
      <c r="E3" s="45"/>
      <c r="F3" s="45"/>
      <c r="G3" s="45"/>
      <c r="H3" s="45"/>
      <c r="I3" s="45"/>
      <c r="J3" s="45"/>
      <c r="K3" s="45"/>
    </row>
    <row r="4" spans="2:11" ht="75.75" customHeight="1" thickTop="1">
      <c r="B4" s="39" t="s">
        <v>10</v>
      </c>
      <c r="C4" s="115" t="s">
        <v>11</v>
      </c>
      <c r="D4" s="115"/>
      <c r="E4" s="116" t="s">
        <v>12</v>
      </c>
      <c r="F4" s="116"/>
      <c r="G4" s="115" t="s">
        <v>55</v>
      </c>
      <c r="H4" s="115"/>
      <c r="I4" s="40" t="s">
        <v>21</v>
      </c>
      <c r="J4" s="40" t="s">
        <v>64</v>
      </c>
      <c r="K4" s="41" t="s">
        <v>40</v>
      </c>
    </row>
    <row r="5" spans="2:11" ht="32.1" customHeight="1">
      <c r="B5" s="43" t="s">
        <v>26</v>
      </c>
      <c r="C5" s="54">
        <v>30</v>
      </c>
      <c r="D5" s="49" t="s">
        <v>13</v>
      </c>
      <c r="E5" s="71">
        <f>'Калькулятор ROI'!C21/12</f>
        <v>37.037037037037038</v>
      </c>
      <c r="F5" s="49" t="s">
        <v>14</v>
      </c>
      <c r="G5" s="71">
        <f t="shared" ref="G5:G10" si="0">C5*E5/60*12</f>
        <v>222.22222222222223</v>
      </c>
      <c r="H5" s="49" t="s">
        <v>56</v>
      </c>
      <c r="I5" s="76">
        <v>65</v>
      </c>
      <c r="J5" s="74">
        <f t="shared" ref="J5:J10" si="1">(C5*E5/60*12*I5%)</f>
        <v>144.44444444444446</v>
      </c>
      <c r="K5" s="77">
        <f>J5*'Калькулятор ROI'!C14/8</f>
        <v>902.77777777777783</v>
      </c>
    </row>
    <row r="6" spans="2:11" ht="32.1" customHeight="1">
      <c r="B6" s="43" t="s">
        <v>27</v>
      </c>
      <c r="C6" s="54">
        <v>4</v>
      </c>
      <c r="D6" s="49" t="s">
        <v>13</v>
      </c>
      <c r="E6" s="71">
        <f>SUM('Калькулятор ROI'!C21:C22)/12*4</f>
        <v>207.40740740740742</v>
      </c>
      <c r="F6" s="49" t="s">
        <v>14</v>
      </c>
      <c r="G6" s="71">
        <f t="shared" si="0"/>
        <v>165.92592592592592</v>
      </c>
      <c r="H6" s="49" t="s">
        <v>56</v>
      </c>
      <c r="I6" s="76">
        <v>40</v>
      </c>
      <c r="J6" s="74">
        <f t="shared" si="1"/>
        <v>66.370370370370367</v>
      </c>
      <c r="K6" s="77">
        <f>J6*'Калькулятор ROI'!C14/8</f>
        <v>414.81481481481478</v>
      </c>
    </row>
    <row r="7" spans="2:11" ht="32.1" customHeight="1">
      <c r="B7" s="43" t="s">
        <v>31</v>
      </c>
      <c r="C7" s="54">
        <v>10</v>
      </c>
      <c r="D7" s="49" t="s">
        <v>13</v>
      </c>
      <c r="E7" s="71">
        <f>SUM('Калькулятор ROI'!C18:C20)*30/12/'Калькулятор ROI'!C14*2</f>
        <v>70.8</v>
      </c>
      <c r="F7" s="49" t="s">
        <v>14</v>
      </c>
      <c r="G7" s="71">
        <f t="shared" si="0"/>
        <v>141.60000000000002</v>
      </c>
      <c r="H7" s="49" t="s">
        <v>56</v>
      </c>
      <c r="I7" s="76">
        <v>70</v>
      </c>
      <c r="J7" s="74">
        <f t="shared" si="1"/>
        <v>99.12</v>
      </c>
      <c r="K7" s="77">
        <f>J7*'Калькулятор ROI'!C14/8</f>
        <v>619.5</v>
      </c>
    </row>
    <row r="8" spans="2:11" ht="32.1" customHeight="1">
      <c r="B8" s="43" t="s">
        <v>29</v>
      </c>
      <c r="C8" s="54">
        <v>20</v>
      </c>
      <c r="D8" s="49" t="s">
        <v>13</v>
      </c>
      <c r="E8" s="71">
        <f>'Калькулятор ROI'!C21/12</f>
        <v>37.037037037037038</v>
      </c>
      <c r="F8" s="49" t="s">
        <v>14</v>
      </c>
      <c r="G8" s="71">
        <f t="shared" si="0"/>
        <v>148.14814814814815</v>
      </c>
      <c r="H8" s="49" t="s">
        <v>56</v>
      </c>
      <c r="I8" s="76">
        <v>60</v>
      </c>
      <c r="J8" s="74">
        <f t="shared" si="1"/>
        <v>88.888888888888886</v>
      </c>
      <c r="K8" s="77">
        <f>J8*'Калькулятор ROI'!C14/8</f>
        <v>555.55555555555554</v>
      </c>
    </row>
    <row r="9" spans="2:11" ht="32.1" customHeight="1">
      <c r="B9" s="43" t="s">
        <v>41</v>
      </c>
      <c r="C9" s="54">
        <v>15</v>
      </c>
      <c r="D9" s="49" t="s">
        <v>13</v>
      </c>
      <c r="E9" s="71">
        <f>'Калькулятор ROI'!C21/12*2</f>
        <v>74.074074074074076</v>
      </c>
      <c r="F9" s="49" t="s">
        <v>14</v>
      </c>
      <c r="G9" s="71">
        <f t="shared" si="0"/>
        <v>222.22222222222223</v>
      </c>
      <c r="H9" s="49" t="s">
        <v>56</v>
      </c>
      <c r="I9" s="76">
        <v>75</v>
      </c>
      <c r="J9" s="74">
        <f t="shared" si="1"/>
        <v>166.66666666666669</v>
      </c>
      <c r="K9" s="77">
        <f>J9*'Калькулятор ROI'!C14/8</f>
        <v>1041.6666666666667</v>
      </c>
    </row>
    <row r="10" spans="2:11" ht="32.1" customHeight="1">
      <c r="B10" s="43" t="s">
        <v>28</v>
      </c>
      <c r="C10" s="54">
        <v>40</v>
      </c>
      <c r="D10" s="49" t="s">
        <v>13</v>
      </c>
      <c r="E10" s="71">
        <f>'Калькулятор ROI'!C22/12</f>
        <v>14.814814814814817</v>
      </c>
      <c r="F10" s="49" t="s">
        <v>14</v>
      </c>
      <c r="G10" s="71">
        <f t="shared" si="0"/>
        <v>118.5185185185185</v>
      </c>
      <c r="H10" s="49" t="s">
        <v>56</v>
      </c>
      <c r="I10" s="76">
        <v>30</v>
      </c>
      <c r="J10" s="74">
        <f t="shared" si="1"/>
        <v>35.55555555555555</v>
      </c>
      <c r="K10" s="77">
        <f>J10*'Калькулятор ROI'!C14/8</f>
        <v>222.2222222222222</v>
      </c>
    </row>
    <row r="11" spans="2:11" s="2" customFormat="1" ht="32.1" customHeight="1">
      <c r="B11" s="43" t="s">
        <v>75</v>
      </c>
      <c r="C11" s="54">
        <v>1</v>
      </c>
      <c r="D11" s="49" t="s">
        <v>15</v>
      </c>
      <c r="E11" s="71">
        <f>'Калькулятор ROI'!C17*SUM('Калькулятор ROI'!C18:C20)/12*40%</f>
        <v>944</v>
      </c>
      <c r="F11" s="49" t="s">
        <v>16</v>
      </c>
      <c r="G11" s="71">
        <f>C11*E11*12</f>
        <v>11328</v>
      </c>
      <c r="H11" s="49" t="s">
        <v>56</v>
      </c>
      <c r="I11" s="76">
        <v>60</v>
      </c>
      <c r="J11" s="74">
        <f>(C11*E11*12*I11%)/'Калькулятор ROI'!C14</f>
        <v>135.93600000000001</v>
      </c>
      <c r="K11" s="77">
        <f>J11*'Калькулятор ROI'!C14/8</f>
        <v>849.6</v>
      </c>
    </row>
    <row r="12" spans="2:11" s="2" customFormat="1" ht="33.75" hidden="1" customHeight="1" thickBot="1">
      <c r="B12" s="43" t="s">
        <v>51</v>
      </c>
      <c r="C12" s="54">
        <v>0.5</v>
      </c>
      <c r="D12" s="49" t="s">
        <v>15</v>
      </c>
      <c r="E12" s="72">
        <f>'Калькулятор ROI'!C17*SUM('Калькулятор ROI'!C18:C20)/12*20%</f>
        <v>472</v>
      </c>
      <c r="F12" s="49" t="s">
        <v>16</v>
      </c>
      <c r="G12" s="74">
        <f>C12*E12*12</f>
        <v>2832</v>
      </c>
      <c r="H12" s="49" t="s">
        <v>56</v>
      </c>
      <c r="I12" s="76">
        <v>0</v>
      </c>
      <c r="J12" s="74">
        <f>(C12*E12*12*I12%)</f>
        <v>0</v>
      </c>
      <c r="K12" s="77">
        <f>J12*'Калькулятор ROI'!C14/8</f>
        <v>0</v>
      </c>
    </row>
    <row r="13" spans="2:11" s="2" customFormat="1" ht="32.1" customHeight="1">
      <c r="B13" s="43" t="s">
        <v>0</v>
      </c>
      <c r="C13" s="54">
        <v>0.25</v>
      </c>
      <c r="D13" s="49" t="s">
        <v>15</v>
      </c>
      <c r="E13" s="72">
        <f>E12</f>
        <v>472</v>
      </c>
      <c r="F13" s="49" t="s">
        <v>16</v>
      </c>
      <c r="G13" s="74">
        <f>C13*E13*12</f>
        <v>1416</v>
      </c>
      <c r="H13" s="49" t="s">
        <v>56</v>
      </c>
      <c r="I13" s="76">
        <v>80</v>
      </c>
      <c r="J13" s="74">
        <f>(C13*E13*12*I13%)/'Калькулятор ROI'!C14</f>
        <v>22.655999999999999</v>
      </c>
      <c r="K13" s="77">
        <f>J13*'Калькулятор ROI'!C14/8</f>
        <v>141.6</v>
      </c>
    </row>
    <row r="14" spans="2:11" s="2" customFormat="1" ht="36" customHeight="1" thickBot="1">
      <c r="B14" s="44" t="s">
        <v>57</v>
      </c>
      <c r="C14" s="56">
        <v>4</v>
      </c>
      <c r="D14" s="51" t="s">
        <v>15</v>
      </c>
      <c r="E14" s="73">
        <f>'Калькулятор ROI'!C17*SUM('Калькулятор ROI'!C18:C20)*0.5%</f>
        <v>141.6</v>
      </c>
      <c r="F14" s="51" t="s">
        <v>16</v>
      </c>
      <c r="G14" s="75">
        <f>C14*E14*12</f>
        <v>6796.7999999999993</v>
      </c>
      <c r="H14" s="51" t="s">
        <v>56</v>
      </c>
      <c r="I14" s="78">
        <v>70</v>
      </c>
      <c r="J14" s="75">
        <f>(C14*E14*12*I14%)/'Калькулятор ROI'!C14</f>
        <v>95.155199999999979</v>
      </c>
      <c r="K14" s="79">
        <f>J14*'Калькулятор ROI'!C14/8</f>
        <v>594.71999999999991</v>
      </c>
    </row>
    <row r="15" spans="2:11" ht="22.5" customHeight="1" thickTop="1" thickBot="1">
      <c r="B15" s="1"/>
      <c r="C15" s="57"/>
    </row>
    <row r="16" spans="2:11" s="2" customFormat="1" ht="26.25" customHeight="1" thickBot="1">
      <c r="C16" s="58"/>
      <c r="D16" s="48"/>
      <c r="E16" s="48"/>
      <c r="F16" s="48"/>
      <c r="G16" s="48"/>
      <c r="H16" s="48"/>
      <c r="I16" s="52"/>
      <c r="J16" s="47"/>
      <c r="K16" s="47"/>
    </row>
    <row r="17" spans="2:11" s="2" customFormat="1" ht="21.75" customHeight="1" thickBot="1">
      <c r="B17" s="38" t="s">
        <v>73</v>
      </c>
      <c r="C17" s="58"/>
      <c r="D17" s="48"/>
      <c r="E17" s="48"/>
      <c r="F17" s="48"/>
      <c r="G17" s="48"/>
      <c r="H17" s="48"/>
      <c r="I17" s="52"/>
      <c r="J17" s="47"/>
      <c r="K17" s="47"/>
    </row>
    <row r="18" spans="2:11" ht="75" customHeight="1" thickTop="1">
      <c r="B18" s="39" t="s">
        <v>69</v>
      </c>
      <c r="C18" s="115" t="s">
        <v>70</v>
      </c>
      <c r="D18" s="115"/>
      <c r="E18" s="116" t="s">
        <v>71</v>
      </c>
      <c r="F18" s="116"/>
      <c r="G18" s="115" t="s">
        <v>68</v>
      </c>
      <c r="H18" s="115"/>
      <c r="I18" s="40" t="s">
        <v>21</v>
      </c>
      <c r="J18" s="40" t="s">
        <v>72</v>
      </c>
      <c r="K18" s="41" t="s">
        <v>30</v>
      </c>
    </row>
    <row r="19" spans="2:11" ht="35.25" customHeight="1">
      <c r="B19" s="42" t="s">
        <v>82</v>
      </c>
      <c r="C19" s="55">
        <v>2</v>
      </c>
      <c r="D19" s="50" t="s">
        <v>15</v>
      </c>
      <c r="E19" s="83">
        <f>'Калькулятор ROI'!C10/12</f>
        <v>20.583333333333332</v>
      </c>
      <c r="F19" s="50" t="s">
        <v>16</v>
      </c>
      <c r="G19" s="83">
        <f>C19*E19*12</f>
        <v>494</v>
      </c>
      <c r="H19" s="50" t="s">
        <v>56</v>
      </c>
      <c r="I19" s="80">
        <v>70</v>
      </c>
      <c r="J19" s="81">
        <f>(C19*E19*12*I19%)/'Калькулятор ROI'!C14</f>
        <v>6.9159999999999995</v>
      </c>
      <c r="K19" s="82">
        <f>J19*'Калькулятор ROI'!C12/8</f>
        <v>5.1869999999999994</v>
      </c>
    </row>
    <row r="20" spans="2:11" ht="32.1" customHeight="1">
      <c r="B20" s="42" t="s">
        <v>83</v>
      </c>
      <c r="C20" s="55">
        <v>8</v>
      </c>
      <c r="D20" s="50" t="s">
        <v>15</v>
      </c>
      <c r="E20" s="83">
        <f>'Калькулятор ROI'!C17/12*4</f>
        <v>13.333333333333334</v>
      </c>
      <c r="F20" s="50" t="s">
        <v>16</v>
      </c>
      <c r="G20" s="83">
        <f>C20*E20*12</f>
        <v>1280</v>
      </c>
      <c r="H20" s="50" t="s">
        <v>56</v>
      </c>
      <c r="I20" s="80">
        <v>60</v>
      </c>
      <c r="J20" s="81">
        <f>(C20*E20*12*I20%)/'Калькулятор ROI'!C14</f>
        <v>15.36</v>
      </c>
      <c r="K20" s="82">
        <f>J20*'Калькулятор ROI'!C12/8</f>
        <v>11.52</v>
      </c>
    </row>
    <row r="21" spans="2:11" s="2" customFormat="1" ht="32.1" customHeight="1">
      <c r="B21" s="42" t="s">
        <v>84</v>
      </c>
      <c r="C21" s="55">
        <v>60</v>
      </c>
      <c r="D21" s="50" t="s">
        <v>13</v>
      </c>
      <c r="E21" s="83">
        <f>'Калькулятор ROI'!C17*'Калькулятор ROI'!C18/12</f>
        <v>26.666666666666668</v>
      </c>
      <c r="F21" s="50" t="s">
        <v>14</v>
      </c>
      <c r="G21" s="83">
        <f>C21*E21/60*12</f>
        <v>320</v>
      </c>
      <c r="H21" s="50" t="s">
        <v>56</v>
      </c>
      <c r="I21" s="80">
        <v>40</v>
      </c>
      <c r="J21" s="81">
        <f>(C21*E21/60*12*I21%)</f>
        <v>128</v>
      </c>
      <c r="K21" s="82">
        <f>J21*'Калькулятор ROI'!C12/8</f>
        <v>96</v>
      </c>
    </row>
    <row r="22" spans="2:11" s="2" customFormat="1" ht="32.1" customHeight="1">
      <c r="B22" s="42" t="s">
        <v>85</v>
      </c>
      <c r="C22" s="55">
        <v>30</v>
      </c>
      <c r="D22" s="50" t="s">
        <v>13</v>
      </c>
      <c r="E22" s="83">
        <f>'Калькулятор ROI'!C17/'Калькулятор ROI'!C12/12</f>
        <v>0.55555555555555558</v>
      </c>
      <c r="F22" s="50" t="s">
        <v>14</v>
      </c>
      <c r="G22" s="83">
        <f>C22*E22/60*12</f>
        <v>3.3333333333333335</v>
      </c>
      <c r="H22" s="50" t="s">
        <v>56</v>
      </c>
      <c r="I22" s="80">
        <v>60</v>
      </c>
      <c r="J22" s="81">
        <f>(C22*E22/60*12*I22%)</f>
        <v>2</v>
      </c>
      <c r="K22" s="82">
        <f>J22*'Калькулятор ROI'!C12/8</f>
        <v>1.5</v>
      </c>
    </row>
    <row r="23" spans="2:11" s="2" customFormat="1" ht="32.1" customHeight="1">
      <c r="B23" s="42" t="s">
        <v>86</v>
      </c>
      <c r="C23" s="55">
        <v>60</v>
      </c>
      <c r="D23" s="50" t="s">
        <v>13</v>
      </c>
      <c r="E23" s="83">
        <f>'Калькулятор ROI'!C17/'Калькулятор ROI'!C12/12</f>
        <v>0.55555555555555558</v>
      </c>
      <c r="F23" s="50" t="s">
        <v>14</v>
      </c>
      <c r="G23" s="83">
        <f>C23*E23/60*12</f>
        <v>6.666666666666667</v>
      </c>
      <c r="H23" s="50" t="s">
        <v>56</v>
      </c>
      <c r="I23" s="80">
        <v>80</v>
      </c>
      <c r="J23" s="81">
        <f>(C23*E23/60*12*I23%)</f>
        <v>5.3333333333333339</v>
      </c>
      <c r="K23" s="82">
        <f>J23*'Калькулятор ROI'!C12/8</f>
        <v>4</v>
      </c>
    </row>
    <row r="24" spans="2:11" s="2" customFormat="1">
      <c r="C24" s="48"/>
      <c r="D24" s="48"/>
      <c r="E24" s="48"/>
      <c r="F24" s="48"/>
      <c r="G24" s="48"/>
      <c r="H24" s="48"/>
      <c r="I24" s="48"/>
      <c r="J24" s="48"/>
      <c r="K24" s="48"/>
    </row>
    <row r="25" spans="2:11" s="2" customFormat="1">
      <c r="C25" s="48"/>
      <c r="D25" s="48"/>
      <c r="E25" s="48"/>
      <c r="F25" s="48"/>
      <c r="G25" s="48"/>
      <c r="H25" s="48"/>
      <c r="I25" s="48"/>
      <c r="J25" s="48"/>
      <c r="K25" s="48"/>
    </row>
    <row r="26" spans="2:11" s="2" customFormat="1">
      <c r="C26" s="48"/>
      <c r="D26" s="48"/>
      <c r="E26" s="48"/>
      <c r="F26" s="48"/>
      <c r="G26" s="48"/>
      <c r="H26" s="48"/>
      <c r="I26" s="48"/>
      <c r="J26" s="48"/>
      <c r="K26" s="48"/>
    </row>
  </sheetData>
  <sheetProtection password="C683" sheet="1" objects="1" scenarios="1"/>
  <mergeCells count="6">
    <mergeCell ref="C4:D4"/>
    <mergeCell ref="E4:F4"/>
    <mergeCell ref="G4:H4"/>
    <mergeCell ref="C18:D18"/>
    <mergeCell ref="E18:F18"/>
    <mergeCell ref="G18:H18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Калькулятор ROI</vt:lpstr>
      <vt:lpstr>Параметры экономии</vt:lpstr>
    </vt:vector>
  </TitlesOfParts>
  <Company>АРБАЙТ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ROI по Vitro-CAD</dc:title>
  <dc:subject>Vitro-CAD</dc:subject>
  <dc:creator>Войцехович Оксана</dc:creator>
  <cp:keywords>эффективность</cp:keywords>
  <cp:lastModifiedBy>Yarco84</cp:lastModifiedBy>
  <dcterms:created xsi:type="dcterms:W3CDTF">2011-03-25T08:47:51Z</dcterms:created>
  <dcterms:modified xsi:type="dcterms:W3CDTF">2023-08-30T08:48:44Z</dcterms:modified>
  <cp:category>Маркетинг</cp:category>
</cp:coreProperties>
</file>